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Unit economics" sheetId="2" state="visible" r:id="rId4"/>
    <sheet name="All-in &amp; breakeven" sheetId="3" state="visible" r:id="rId5"/>
    <sheet name="Sensitivit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6" authorId="0">
      <text>
        <r>
          <rPr>
            <sz val="10"/>
            <rFont val="Arial"/>
            <family val="2"/>
          </rPr>
          <t xml:space="preserve">Aggregate output tok/s for a 70B model at high batch concurrency on one H200. vLLM/SGLang-class. Sensitivity tab sweeps this.</t>
        </r>
      </text>
    </comment>
    <comment ref="B29" authorId="0">
      <text>
        <r>
          <rPr>
            <sz val="10"/>
            <rFont val="Arial"/>
            <family val="2"/>
          </rPr>
          <t xml:space="preserve">Senior MLOps/platform engineer, fully loaded (salary + overhead). Dublin/US senior band.</t>
        </r>
      </text>
    </comment>
  </commentList>
</comments>
</file>

<file path=xl/sharedStrings.xml><?xml version="1.0" encoding="utf-8"?>
<sst xmlns="http://schemas.openxmlformats.org/spreadsheetml/2006/main" count="133" uniqueCount="114">
  <si>
    <t xml:space="preserve">Lock-In, Then Meter</t>
  </si>
  <si>
    <t xml:space="preserve">Inference build-vs-buy cost model. Blue = editable input. Figures representative, June 2026.</t>
  </si>
  <si>
    <t xml:space="preserve">Assumption</t>
  </si>
  <si>
    <t xml:space="preserve">Value</t>
  </si>
  <si>
    <t xml:space="preserve">Unit</t>
  </si>
  <si>
    <t xml:space="preserve">Source / note</t>
  </si>
  <si>
    <t xml:space="preserve">Token mix, input : output</t>
  </si>
  <si>
    <t xml:space="preserve">ratio</t>
  </si>
  <si>
    <t xml:space="preserve">Blended price weight. Typical agentic/RAG mix.</t>
  </si>
  <si>
    <t xml:space="preserve">Hours per month</t>
  </si>
  <si>
    <t xml:space="preserve">hr</t>
  </si>
  <si>
    <t xml:space="preserve">Continuous provisioning baseline.</t>
  </si>
  <si>
    <t xml:space="preserve">Frontier API  ($/Mtok)</t>
  </si>
  <si>
    <t xml:space="preserve">Claude Opus 4.8 — input</t>
  </si>
  <si>
    <t xml:space="preserve">$/Mtok</t>
  </si>
  <si>
    <t xml:space="preserve">Anthropic list, Jun 2026.</t>
  </si>
  <si>
    <t xml:space="preserve">Claude Opus 4.8 — output</t>
  </si>
  <si>
    <t xml:space="preserve">Claude Sonnet 4.6 — input</t>
  </si>
  <si>
    <t xml:space="preserve">Claude Sonnet 4.6 — output</t>
  </si>
  <si>
    <t xml:space="preserve">Claude Haiku 4.5 — input</t>
  </si>
  <si>
    <t xml:space="preserve">Claude Haiku 4.5 — output</t>
  </si>
  <si>
    <t xml:space="preserve">Managed open-weight API  ($/Mtok)</t>
  </si>
  <si>
    <t xml:space="preserve">Llama 3.3 70B — input</t>
  </si>
  <si>
    <t xml:space="preserve">DeepInfra, Jun 2026.</t>
  </si>
  <si>
    <t xml:space="preserve">Llama 3.3 70B — output</t>
  </si>
  <si>
    <t xml:space="preserve">DeepSeek V4 Pro — blended</t>
  </si>
  <si>
    <t xml:space="preserve">Multi-provider median, Jun 2026.</t>
  </si>
  <si>
    <t xml:space="preserve">gpt-oss-120B — blended</t>
  </si>
  <si>
    <t xml:space="preserve">Managed, Jun 2026.</t>
  </si>
  <si>
    <t xml:space="preserve">Self-hosting  (H200 class, 70B model)</t>
  </si>
  <si>
    <t xml:space="preserve">Rented GPU — reserved 1yr</t>
  </si>
  <si>
    <t xml:space="preserve">$/GPU-hr</t>
  </si>
  <si>
    <t xml:space="preserve">CoreWeave-class reserved (~$2,016/mo).</t>
  </si>
  <si>
    <t xml:space="preserve">Owned GPU — capex (incl server share)</t>
  </si>
  <si>
    <t xml:space="preserve">$/GPU</t>
  </si>
  <si>
    <t xml:space="preserve">H200 SXM all-in node share.</t>
  </si>
  <si>
    <t xml:space="preserve">Amortization period</t>
  </si>
  <si>
    <t xml:space="preserve">yr</t>
  </si>
  <si>
    <t xml:space="preserve">Straight-line.</t>
  </si>
  <si>
    <t xml:space="preserve">GPU power draw</t>
  </si>
  <si>
    <t xml:space="preserve">kW</t>
  </si>
  <si>
    <t xml:space="preserve">H200 TDP.</t>
  </si>
  <si>
    <t xml:space="preserve">Datacenter PUE</t>
  </si>
  <si>
    <t xml:space="preserve">x</t>
  </si>
  <si>
    <t xml:space="preserve">Power usage effectiveness.</t>
  </si>
  <si>
    <t xml:space="preserve">Electricity price</t>
  </si>
  <si>
    <t xml:space="preserve">$/kWh</t>
  </si>
  <si>
    <t xml:space="preserve">Western Europe / Ireland.</t>
  </si>
  <si>
    <t xml:space="preserve">Colo + networking per GPU</t>
  </si>
  <si>
    <t xml:space="preserve">$/GPU/mo</t>
  </si>
  <si>
    <t xml:space="preserve">Rack, bandwidth share.</t>
  </si>
  <si>
    <t xml:space="preserve">Throughput per GPU</t>
  </si>
  <si>
    <t xml:space="preserve">tok/s</t>
  </si>
  <si>
    <t xml:space="preserve">Aggregate OUTPUT, 70B, high batch.</t>
  </si>
  <si>
    <t xml:space="preserve">Realistic utilization</t>
  </si>
  <si>
    <t xml:space="preserve">%</t>
  </si>
  <si>
    <t xml:space="preserve">Fraction of time saturated.</t>
  </si>
  <si>
    <t xml:space="preserve">Platform team</t>
  </si>
  <si>
    <t xml:space="preserve">FTE</t>
  </si>
  <si>
    <t xml:space="preserve">Serving, autoscaling, evals, on-call.</t>
  </si>
  <si>
    <t xml:space="preserve">Fully-loaded cost per FTE</t>
  </si>
  <si>
    <t xml:space="preserve">$/yr</t>
  </si>
  <si>
    <t xml:space="preserve">Senior MLOps, loaded.</t>
  </si>
  <si>
    <t xml:space="preserve">Derived unit economics</t>
  </si>
  <si>
    <t xml:space="preserve">$ per million tokens (output-denominated). Black = formula.</t>
  </si>
  <si>
    <t xml:space="preserve">Blended price @ I/O ratio</t>
  </si>
  <si>
    <t xml:space="preserve">Claude Opus 4.8</t>
  </si>
  <si>
    <t xml:space="preserve">Claude Sonnet 4.6</t>
  </si>
  <si>
    <t xml:space="preserve">Claude Haiku 4.5</t>
  </si>
  <si>
    <t xml:space="preserve">Llama 3.3 70B (managed)</t>
  </si>
  <si>
    <t xml:space="preserve">DeepSeek V4 Pro (managed)</t>
  </si>
  <si>
    <t xml:space="preserve">gpt-oss-120B (managed)</t>
  </si>
  <si>
    <t xml:space="preserve">Self-host hardware cost</t>
  </si>
  <si>
    <t xml:space="preserve">Own GPU — capex / hr</t>
  </si>
  <si>
    <t xml:space="preserve">Own GPU — power / hr</t>
  </si>
  <si>
    <t xml:space="preserve">Own GPU — colo / hr</t>
  </si>
  <si>
    <t xml:space="preserve">Own GPU — all-in / hr</t>
  </si>
  <si>
    <t xml:space="preserve">Rented GPU / hr</t>
  </si>
  <si>
    <t xml:space="preserve">Per-GPU tokens / month</t>
  </si>
  <si>
    <t xml:space="preserve">Managed-open 70B floor</t>
  </si>
  <si>
    <t xml:space="preserve">Owned hw floor (U=100%)</t>
  </si>
  <si>
    <t xml:space="preserve">Cost per Mtok, ranked</t>
  </si>
  <si>
    <t xml:space="preserve">Self-host $/Mtok by utilization</t>
  </si>
  <si>
    <t xml:space="preserve">DeepSeek V4 Pro</t>
  </si>
  <si>
    <t xml:space="preserve">Utilization</t>
  </si>
  <si>
    <t xml:space="preserve">Rented</t>
  </si>
  <si>
    <t xml:space="preserve">Owned (hw)</t>
  </si>
  <si>
    <t xml:space="preserve">Managed-open</t>
  </si>
  <si>
    <t xml:space="preserve">Owned 70B @60%</t>
  </si>
  <si>
    <t xml:space="preserve">Managed Llama 70B</t>
  </si>
  <si>
    <t xml:space="preserve">gpt-oss-120B</t>
  </si>
  <si>
    <t xml:space="preserve">All-in cost &amp; breakevens</t>
  </si>
  <si>
    <t xml:space="preserve">Owned (incl platform team) vs managed-open vs frontier, by monthly volume.</t>
  </si>
  <si>
    <t xml:space="preserve">Platform team / month</t>
  </si>
  <si>
    <t xml:space="preserve">Volume (B tok/mo)</t>
  </si>
  <si>
    <t xml:space="preserve">GPUs needed</t>
  </si>
  <si>
    <t xml:space="preserve">Owned $/mo</t>
  </si>
  <si>
    <t xml:space="preserve">Owned $/Mtok</t>
  </si>
  <si>
    <t xml:space="preserve">Managed-open $/mo</t>
  </si>
  <si>
    <t xml:space="preserve">Frontier $/mo</t>
  </si>
  <si>
    <t xml:space="preserve">Owned vs mgd</t>
  </si>
  <si>
    <t xml:space="preserve">Breakevens</t>
  </si>
  <si>
    <t xml:space="preserve">Owned marginal $/Mtok</t>
  </si>
  <si>
    <t xml:space="preserve">Owned beats FRONTIER above</t>
  </si>
  <si>
    <t xml:space="preserve">B tok/mo</t>
  </si>
  <si>
    <t xml:space="preserve">Owned vs MANAGED-OPEN</t>
  </si>
  <si>
    <t xml:space="preserve">Fixed platform cost framing</t>
  </si>
  <si>
    <t xml:space="preserve">Min platform fixed $/mo (low)</t>
  </si>
  <si>
    <t xml:space="preserve">B tok/mo of managed = this team cost</t>
  </si>
  <si>
    <t xml:space="preserve">Min platform fixed $/mo (high)</t>
  </si>
  <si>
    <t xml:space="preserve">Sensitivity: owned hardware-only $/Mtok</t>
  </si>
  <si>
    <t xml:space="preserve">Rows = throughput (tok/s). Cols = utilization. Green cells beat the managed-open floor.</t>
  </si>
  <si>
    <t xml:space="preserve">tok/s \ util</t>
  </si>
  <si>
    <t xml:space="preserve">Managed-open floor ($/Mtok):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</si>
</sst>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#,##0"/>
    <numFmt numFmtId="167" formatCode="\$#,##0.00"/>
    <numFmt numFmtId="168" formatCode="\$#,##0.000"/>
    <numFmt numFmtId="169" formatCode="\$#,##0;&quot;($&quot;#,##0\);\-"/>
    <numFmt numFmtId="170" formatCode="0.00"/>
    <numFmt numFmtId="171" formatCode="0%"/>
    <numFmt numFmtId="172" formatCode="#,##0.0"/>
    <numFmt numFmtId="173" formatCode="0.0\x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6399C"/>
      <name val="Arial"/>
      <family val="0"/>
      <charset val="1"/>
    </font>
    <font>
      <i val="true"/>
      <sz val="9"/>
      <color rgb="FF6B676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8"/>
      <color rgb="FF6B6760"/>
      <name val="Arial"/>
      <family val="0"/>
      <charset val="1"/>
    </font>
    <font>
      <b val="true"/>
      <sz val="10"/>
      <color rgb="FF16399C"/>
      <name val="Arial"/>
      <family val="0"/>
      <charset val="1"/>
    </font>
    <font>
      <sz val="10"/>
      <name val="Arial"/>
      <family val="2"/>
    </font>
    <font>
      <b val="true"/>
      <sz val="1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A4FD6"/>
        <bgColor rgb="FF16399C"/>
      </patternFill>
    </fill>
    <fill>
      <patternFill patternType="solid">
        <fgColor rgb="FFFFFF00"/>
        <bgColor rgb="FFFFFF00"/>
      </patternFill>
    </fill>
    <fill>
      <patternFill patternType="solid">
        <fgColor rgb="FFEEECEA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2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color rgb="FF1A7F4B"/>
        <sz val="10"/>
      </font>
      <fill>
        <patternFill>
          <bgColor rgb="FFC8E6D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F4B"/>
      <rgbColor rgb="FFC0C0C0"/>
      <rgbColor rgb="FF878787"/>
      <rgbColor rgb="FF9999FF"/>
      <rgbColor rgb="FFBE4B48"/>
      <rgbColor rgb="FFEEECEA"/>
      <rgbColor rgb="FFCCFFFF"/>
      <rgbColor rgb="FF660066"/>
      <rgbColor rgb="FFFF8080"/>
      <rgbColor rgb="FF1A4FD6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8E6D0"/>
      <rgbColor rgb="FFFFFF99"/>
      <rgbColor rgb="FF99CCFF"/>
      <rgbColor rgb="FFFF99CC"/>
      <rgbColor rgb="FFCC99FF"/>
      <rgbColor rgb="FFFFCC99"/>
      <rgbColor rgb="FF4A7EBB"/>
      <rgbColor rgb="FF33CCCC"/>
      <rgbColor rgb="FF98B855"/>
      <rgbColor rgb="FFFFCC00"/>
      <rgbColor rgb="FFFF9900"/>
      <rgbColor rgb="FFFF6600"/>
      <rgbColor rgb="FF6B6760"/>
      <rgbColor rgb="FF969696"/>
      <rgbColor rgb="FF003366"/>
      <rgbColor rgb="FF4F81BD"/>
      <rgbColor rgb="FF003300"/>
      <rgbColor rgb="FF333300"/>
      <rgbColor rgb="FF993300"/>
      <rgbColor rgb="FF993366"/>
      <rgbColor rgb="FF16399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Self-host $/Mtok vs utilization (70B)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'Unit economics'!B24</c:f>
              <c:strCache>
                <c:ptCount val="1"/>
                <c:pt idx="0">
                  <c:v>Rented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'Unit economics'!$A$25:$A$29</c:f>
              <c:strCache>
                <c:ptCount val="5"/>
                <c:pt idx="0">
                  <c:v>20%</c:v>
                </c:pt>
                <c:pt idx="1">
                  <c:v>40%</c:v>
                </c:pt>
                <c:pt idx="2">
                  <c:v>60%</c:v>
                </c:pt>
                <c:pt idx="3">
                  <c:v>80%</c:v>
                </c:pt>
                <c:pt idx="4">
                  <c:v>100%</c:v>
                </c:pt>
              </c:strCache>
            </c:strRef>
          </c:cat>
          <c:val>
            <c:numRef>
              <c:f>'Unit economics'!$B$25:$B$29</c:f>
              <c:numCache>
                <c:formatCode>\$#,##0.000</c:formatCode>
                <c:ptCount val="5"/>
                <c:pt idx="0">
                  <c:v>1.91666666666667</c:v>
                </c:pt>
                <c:pt idx="1">
                  <c:v>0.958333333333333</c:v>
                </c:pt>
                <c:pt idx="2">
                  <c:v>0.638888888888889</c:v>
                </c:pt>
                <c:pt idx="3">
                  <c:v>0.479166666666667</c:v>
                </c:pt>
                <c:pt idx="4">
                  <c:v>0.383333333333333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'Unit economics'!C24</c:f>
              <c:strCache>
                <c:ptCount val="1"/>
                <c:pt idx="0">
                  <c:v>Owned (hw)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'Unit economics'!$A$25:$A$29</c:f>
              <c:strCache>
                <c:ptCount val="5"/>
                <c:pt idx="0">
                  <c:v>20%</c:v>
                </c:pt>
                <c:pt idx="1">
                  <c:v>40%</c:v>
                </c:pt>
                <c:pt idx="2">
                  <c:v>60%</c:v>
                </c:pt>
                <c:pt idx="3">
                  <c:v>80%</c:v>
                </c:pt>
                <c:pt idx="4">
                  <c:v>100%</c:v>
                </c:pt>
              </c:strCache>
            </c:strRef>
          </c:cat>
          <c:val>
            <c:numRef>
              <c:f>'Unit economics'!$C$25:$C$29</c:f>
              <c:numCache>
                <c:formatCode>\$#,##0.000</c:formatCode>
                <c:ptCount val="5"/>
                <c:pt idx="0">
                  <c:v>1.63110730593607</c:v>
                </c:pt>
                <c:pt idx="1">
                  <c:v>0.815553652968037</c:v>
                </c:pt>
                <c:pt idx="2">
                  <c:v>0.543702435312024</c:v>
                </c:pt>
                <c:pt idx="3">
                  <c:v>0.407776826484018</c:v>
                </c:pt>
                <c:pt idx="4">
                  <c:v>0.326221461187215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'Unit economics'!D24</c:f>
              <c:strCache>
                <c:ptCount val="1"/>
                <c:pt idx="0">
                  <c:v>Managed-open</c:v>
                </c:pt>
              </c:strCache>
            </c:strRef>
          </c:tx>
          <c:spPr>
            <a:solidFill>
              <a:srgbClr val="98b855"/>
            </a:solidFill>
            <a:ln w="2844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'Unit economics'!$A$25:$A$29</c:f>
              <c:strCache>
                <c:ptCount val="5"/>
                <c:pt idx="0">
                  <c:v>20%</c:v>
                </c:pt>
                <c:pt idx="1">
                  <c:v>40%</c:v>
                </c:pt>
                <c:pt idx="2">
                  <c:v>60%</c:v>
                </c:pt>
                <c:pt idx="3">
                  <c:v>80%</c:v>
                </c:pt>
                <c:pt idx="4">
                  <c:v>100%</c:v>
                </c:pt>
              </c:strCache>
            </c:strRef>
          </c:cat>
          <c:val>
            <c:numRef>
              <c:f>'Unit economics'!$D$25:$D$29</c:f>
              <c:numCache>
                <c:formatCode>\$#,##0.000</c:formatCode>
                <c:ptCount val="5"/>
                <c:pt idx="0">
                  <c:v>0.264</c:v>
                </c:pt>
                <c:pt idx="1">
                  <c:v>0.264</c:v>
                </c:pt>
                <c:pt idx="2">
                  <c:v>0.264</c:v>
                </c:pt>
                <c:pt idx="3">
                  <c:v>0.264</c:v>
                </c:pt>
                <c:pt idx="4">
                  <c:v>0.264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5551097"/>
        <c:axId val="22940698"/>
      </c:lineChart>
      <c:catAx>
        <c:axId val="355510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Utilization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940698"/>
        <c:crosses val="autoZero"/>
        <c:auto val="1"/>
        <c:lblAlgn val="ctr"/>
        <c:lblOffset val="100"/>
        <c:noMultiLvlLbl val="0"/>
      </c:catAx>
      <c:valAx>
        <c:axId val="2294069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$ / Mtok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55109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Blended $/Mtok by option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'Unit economics'!$G$21:$G$27</c:f>
              <c:strCache>
                <c:ptCount val="7"/>
                <c:pt idx="0">
                  <c:v>Claude Opus 4.8</c:v>
                </c:pt>
                <c:pt idx="1">
                  <c:v>Claude Sonnet 4.6</c:v>
                </c:pt>
                <c:pt idx="2">
                  <c:v>DeepSeek V4 Pro</c:v>
                </c:pt>
                <c:pt idx="3">
                  <c:v>Claude Haiku 4.5</c:v>
                </c:pt>
                <c:pt idx="4">
                  <c:v>Owned 70B @60%</c:v>
                </c:pt>
                <c:pt idx="5">
                  <c:v>Managed Llama 70B</c:v>
                </c:pt>
                <c:pt idx="6">
                  <c:v>gpt-oss-120B</c:v>
                </c:pt>
              </c:strCache>
            </c:strRef>
          </c:cat>
          <c:val>
            <c:numRef>
              <c:f>'Unit economics'!$H$21:$H$27</c:f>
              <c:numCache>
                <c:formatCode>\$#,##0.000</c:formatCode>
                <c:ptCount val="7"/>
                <c:pt idx="0">
                  <c:v>9</c:v>
                </c:pt>
                <c:pt idx="1">
                  <c:v>5.4</c:v>
                </c:pt>
                <c:pt idx="2">
                  <c:v>2.17</c:v>
                </c:pt>
                <c:pt idx="3">
                  <c:v>1.8</c:v>
                </c:pt>
                <c:pt idx="4">
                  <c:v>0.543702435312024</c:v>
                </c:pt>
                <c:pt idx="5">
                  <c:v>0.264</c:v>
                </c:pt>
                <c:pt idx="6">
                  <c:v>0.08</c:v>
                </c:pt>
              </c:numCache>
            </c:numRef>
          </c:val>
        </c:ser>
        <c:gapWidth val="150"/>
        <c:overlap val="0"/>
        <c:axId val="24989907"/>
        <c:axId val="83817900"/>
      </c:barChart>
      <c:catAx>
        <c:axId val="249899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817900"/>
        <c:crosses val="autoZero"/>
        <c:auto val="1"/>
        <c:lblAlgn val="ctr"/>
        <c:lblOffset val="100"/>
        <c:noMultiLvlLbl val="0"/>
      </c:catAx>
      <c:valAx>
        <c:axId val="838179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.0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98990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160920</xdr:rowOff>
    </xdr:from>
    <xdr:to>
      <xdr:col>11</xdr:col>
      <xdr:colOff>166680</xdr:colOff>
      <xdr:row>17</xdr:row>
      <xdr:rowOff>2880</xdr:rowOff>
    </xdr:to>
    <xdr:graphicFrame>
      <xdr:nvGraphicFramePr>
        <xdr:cNvPr id="0" name="Chart 1"/>
        <xdr:cNvGraphicFramePr/>
      </xdr:nvGraphicFramePr>
      <xdr:xfrm>
        <a:off x="5850360" y="571680"/>
        <a:ext cx="4679640" cy="26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34</xdr:row>
      <xdr:rowOff>160560</xdr:rowOff>
    </xdr:from>
    <xdr:to>
      <xdr:col>11</xdr:col>
      <xdr:colOff>166680</xdr:colOff>
      <xdr:row>49</xdr:row>
      <xdr:rowOff>2880</xdr:rowOff>
    </xdr:to>
    <xdr:graphicFrame>
      <xdr:nvGraphicFramePr>
        <xdr:cNvPr id="1" name="Chart 2"/>
        <xdr:cNvGraphicFramePr/>
      </xdr:nvGraphicFramePr>
      <xdr:xfrm>
        <a:off x="5850360" y="6667560"/>
        <a:ext cx="4679640" cy="26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4"/>
    <col collapsed="false" customWidth="true" hidden="false" outlineLevel="0" max="3" min="3" style="0" width="10"/>
    <col collapsed="false" customWidth="true" hidden="false" outlineLevel="0" max="4" min="4" style="0" width="5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</row>
    <row r="4" customFormat="false" ht="15" hidden="false" customHeight="false" outlineLevel="0" collapsed="false">
      <c r="A4" s="4" t="s">
        <v>6</v>
      </c>
      <c r="B4" s="5" t="n">
        <v>4</v>
      </c>
      <c r="C4" s="6" t="s">
        <v>7</v>
      </c>
      <c r="D4" s="6" t="s">
        <v>8</v>
      </c>
    </row>
    <row r="5" customFormat="false" ht="15" hidden="false" customHeight="false" outlineLevel="0" collapsed="false">
      <c r="A5" s="4" t="s">
        <v>9</v>
      </c>
      <c r="B5" s="7" t="n">
        <v>730</v>
      </c>
      <c r="C5" s="6" t="s">
        <v>10</v>
      </c>
      <c r="D5" s="6" t="s">
        <v>11</v>
      </c>
    </row>
    <row r="6" customFormat="false" ht="15" hidden="false" customHeight="false" outlineLevel="0" collapsed="false">
      <c r="A6" s="8" t="s">
        <v>12</v>
      </c>
      <c r="B6" s="9"/>
      <c r="C6" s="9"/>
      <c r="D6" s="9"/>
    </row>
    <row r="7" customFormat="false" ht="15" hidden="false" customHeight="false" outlineLevel="0" collapsed="false">
      <c r="A7" s="4" t="s">
        <v>13</v>
      </c>
      <c r="B7" s="10" t="n">
        <v>5</v>
      </c>
      <c r="C7" s="6" t="s">
        <v>14</v>
      </c>
      <c r="D7" s="6" t="s">
        <v>15</v>
      </c>
    </row>
    <row r="8" customFormat="false" ht="15" hidden="false" customHeight="false" outlineLevel="0" collapsed="false">
      <c r="A8" s="4" t="s">
        <v>16</v>
      </c>
      <c r="B8" s="10" t="n">
        <v>25</v>
      </c>
      <c r="C8" s="6" t="s">
        <v>14</v>
      </c>
      <c r="D8" s="6" t="s">
        <v>15</v>
      </c>
    </row>
    <row r="9" customFormat="false" ht="15" hidden="false" customHeight="false" outlineLevel="0" collapsed="false">
      <c r="A9" s="4" t="s">
        <v>17</v>
      </c>
      <c r="B9" s="10" t="n">
        <v>3</v>
      </c>
      <c r="C9" s="6" t="s">
        <v>14</v>
      </c>
      <c r="D9" s="6" t="s">
        <v>15</v>
      </c>
    </row>
    <row r="10" customFormat="false" ht="15" hidden="false" customHeight="false" outlineLevel="0" collapsed="false">
      <c r="A10" s="4" t="s">
        <v>18</v>
      </c>
      <c r="B10" s="10" t="n">
        <v>15</v>
      </c>
      <c r="C10" s="6" t="s">
        <v>14</v>
      </c>
      <c r="D10" s="6" t="s">
        <v>15</v>
      </c>
    </row>
    <row r="11" customFormat="false" ht="15" hidden="false" customHeight="false" outlineLevel="0" collapsed="false">
      <c r="A11" s="4" t="s">
        <v>19</v>
      </c>
      <c r="B11" s="10" t="n">
        <v>1</v>
      </c>
      <c r="C11" s="6" t="s">
        <v>14</v>
      </c>
      <c r="D11" s="6" t="s">
        <v>15</v>
      </c>
    </row>
    <row r="12" customFormat="false" ht="15" hidden="false" customHeight="false" outlineLevel="0" collapsed="false">
      <c r="A12" s="4" t="s">
        <v>20</v>
      </c>
      <c r="B12" s="10" t="n">
        <v>5</v>
      </c>
      <c r="C12" s="6" t="s">
        <v>14</v>
      </c>
      <c r="D12" s="6" t="s">
        <v>15</v>
      </c>
    </row>
    <row r="13" customFormat="false" ht="15" hidden="false" customHeight="false" outlineLevel="0" collapsed="false">
      <c r="A13" s="8" t="s">
        <v>21</v>
      </c>
      <c r="B13" s="9"/>
      <c r="C13" s="9"/>
      <c r="D13" s="9"/>
    </row>
    <row r="14" customFormat="false" ht="15" hidden="false" customHeight="false" outlineLevel="0" collapsed="false">
      <c r="A14" s="4" t="s">
        <v>22</v>
      </c>
      <c r="B14" s="11" t="n">
        <v>0.23</v>
      </c>
      <c r="C14" s="6" t="s">
        <v>14</v>
      </c>
      <c r="D14" s="6" t="s">
        <v>23</v>
      </c>
    </row>
    <row r="15" customFormat="false" ht="15" hidden="false" customHeight="false" outlineLevel="0" collapsed="false">
      <c r="A15" s="4" t="s">
        <v>24</v>
      </c>
      <c r="B15" s="11" t="n">
        <v>0.4</v>
      </c>
      <c r="C15" s="6" t="s">
        <v>14</v>
      </c>
      <c r="D15" s="6" t="s">
        <v>23</v>
      </c>
    </row>
    <row r="16" customFormat="false" ht="15" hidden="false" customHeight="false" outlineLevel="0" collapsed="false">
      <c r="A16" s="4" t="s">
        <v>25</v>
      </c>
      <c r="B16" s="11" t="n">
        <v>2.17</v>
      </c>
      <c r="C16" s="6" t="s">
        <v>14</v>
      </c>
      <c r="D16" s="6" t="s">
        <v>26</v>
      </c>
    </row>
    <row r="17" customFormat="false" ht="15" hidden="false" customHeight="false" outlineLevel="0" collapsed="false">
      <c r="A17" s="4" t="s">
        <v>27</v>
      </c>
      <c r="B17" s="11" t="n">
        <v>0.08</v>
      </c>
      <c r="C17" s="6" t="s">
        <v>14</v>
      </c>
      <c r="D17" s="6" t="s">
        <v>28</v>
      </c>
    </row>
    <row r="18" customFormat="false" ht="15" hidden="false" customHeight="false" outlineLevel="0" collapsed="false">
      <c r="A18" s="8" t="s">
        <v>29</v>
      </c>
      <c r="B18" s="9"/>
      <c r="C18" s="9"/>
      <c r="D18" s="9"/>
    </row>
    <row r="19" customFormat="false" ht="15" hidden="false" customHeight="false" outlineLevel="0" collapsed="false">
      <c r="A19" s="4" t="s">
        <v>30</v>
      </c>
      <c r="B19" s="10" t="n">
        <v>2.76</v>
      </c>
      <c r="C19" s="6" t="s">
        <v>31</v>
      </c>
      <c r="D19" s="6" t="s">
        <v>32</v>
      </c>
    </row>
    <row r="20" customFormat="false" ht="15" hidden="false" customHeight="false" outlineLevel="0" collapsed="false">
      <c r="A20" s="4" t="s">
        <v>33</v>
      </c>
      <c r="B20" s="12" t="n">
        <v>45000</v>
      </c>
      <c r="C20" s="6" t="s">
        <v>34</v>
      </c>
      <c r="D20" s="6" t="s">
        <v>35</v>
      </c>
    </row>
    <row r="21" customFormat="false" ht="15" hidden="false" customHeight="false" outlineLevel="0" collapsed="false">
      <c r="A21" s="4" t="s">
        <v>36</v>
      </c>
      <c r="B21" s="5" t="n">
        <v>3</v>
      </c>
      <c r="C21" s="6" t="s">
        <v>37</v>
      </c>
      <c r="D21" s="6" t="s">
        <v>38</v>
      </c>
    </row>
    <row r="22" customFormat="false" ht="15" hidden="false" customHeight="false" outlineLevel="0" collapsed="false">
      <c r="A22" s="4" t="s">
        <v>39</v>
      </c>
      <c r="B22" s="13" t="n">
        <v>0.7</v>
      </c>
      <c r="C22" s="6" t="s">
        <v>40</v>
      </c>
      <c r="D22" s="6" t="s">
        <v>41</v>
      </c>
    </row>
    <row r="23" customFormat="false" ht="15" hidden="false" customHeight="false" outlineLevel="0" collapsed="false">
      <c r="A23" s="4" t="s">
        <v>42</v>
      </c>
      <c r="B23" s="13" t="n">
        <v>1.4</v>
      </c>
      <c r="C23" s="6" t="s">
        <v>43</v>
      </c>
      <c r="D23" s="6" t="s">
        <v>44</v>
      </c>
    </row>
    <row r="24" customFormat="false" ht="15" hidden="false" customHeight="false" outlineLevel="0" collapsed="false">
      <c r="A24" s="4" t="s">
        <v>45</v>
      </c>
      <c r="B24" s="10" t="n">
        <v>0.3</v>
      </c>
      <c r="C24" s="6" t="s">
        <v>46</v>
      </c>
      <c r="D24" s="6" t="s">
        <v>47</v>
      </c>
    </row>
    <row r="25" customFormat="false" ht="15" hidden="false" customHeight="false" outlineLevel="0" collapsed="false">
      <c r="A25" s="4" t="s">
        <v>48</v>
      </c>
      <c r="B25" s="12" t="n">
        <v>250</v>
      </c>
      <c r="C25" s="6" t="s">
        <v>49</v>
      </c>
      <c r="D25" s="6" t="s">
        <v>50</v>
      </c>
    </row>
    <row r="26" customFormat="false" ht="15" hidden="false" customHeight="false" outlineLevel="0" collapsed="false">
      <c r="A26" s="4" t="s">
        <v>51</v>
      </c>
      <c r="B26" s="7" t="n">
        <v>2000</v>
      </c>
      <c r="C26" s="6" t="s">
        <v>52</v>
      </c>
      <c r="D26" s="6" t="s">
        <v>53</v>
      </c>
    </row>
    <row r="27" customFormat="false" ht="15" hidden="false" customHeight="false" outlineLevel="0" collapsed="false">
      <c r="A27" s="4" t="s">
        <v>54</v>
      </c>
      <c r="B27" s="14" t="n">
        <v>0.6</v>
      </c>
      <c r="C27" s="6" t="s">
        <v>55</v>
      </c>
      <c r="D27" s="6" t="s">
        <v>56</v>
      </c>
    </row>
    <row r="28" customFormat="false" ht="15" hidden="false" customHeight="false" outlineLevel="0" collapsed="false">
      <c r="A28" s="4" t="s">
        <v>57</v>
      </c>
      <c r="B28" s="5" t="n">
        <v>2</v>
      </c>
      <c r="C28" s="6" t="s">
        <v>58</v>
      </c>
      <c r="D28" s="6" t="s">
        <v>59</v>
      </c>
    </row>
    <row r="29" customFormat="false" ht="15" hidden="false" customHeight="false" outlineLevel="0" collapsed="false">
      <c r="A29" s="4" t="s">
        <v>60</v>
      </c>
      <c r="B29" s="12" t="n">
        <v>190000</v>
      </c>
      <c r="C29" s="6" t="s">
        <v>61</v>
      </c>
      <c r="D29" s="6" t="s">
        <v>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3"/>
    <col collapsed="false" customWidth="true" hidden="false" outlineLevel="0" max="5" min="5" style="0" width="12"/>
    <col collapsed="false" customWidth="true" hidden="false" outlineLevel="0" max="6" min="6" style="0" width="2"/>
    <col collapsed="false" customWidth="true" hidden="false" outlineLevel="0" max="7" min="7" style="0" width="26"/>
    <col collapsed="false" customWidth="true" hidden="false" outlineLevel="0" max="8" min="8" style="0" width="12"/>
  </cols>
  <sheetData>
    <row r="1" customFormat="false" ht="17.35" hidden="false" customHeight="false" outlineLevel="0" collapsed="false">
      <c r="A1" s="1" t="s">
        <v>63</v>
      </c>
    </row>
    <row r="2" customFormat="false" ht="15" hidden="false" customHeight="false" outlineLevel="0" collapsed="false">
      <c r="A2" s="2" t="s">
        <v>64</v>
      </c>
    </row>
    <row r="4" customFormat="false" ht="15" hidden="false" customHeight="false" outlineLevel="0" collapsed="false">
      <c r="A4" s="15" t="s">
        <v>65</v>
      </c>
    </row>
    <row r="5" customFormat="false" ht="15" hidden="false" customHeight="false" outlineLevel="0" collapsed="false">
      <c r="A5" s="4" t="s">
        <v>66</v>
      </c>
      <c r="B5" s="16" t="n">
        <f aca="false">(Assumptions!$B$4*Assumptions!$B$7+Assumptions!$B$8)/(Assumptions!$B$4+1)</f>
        <v>9</v>
      </c>
    </row>
    <row r="6" customFormat="false" ht="15" hidden="false" customHeight="false" outlineLevel="0" collapsed="false">
      <c r="A6" s="4" t="s">
        <v>67</v>
      </c>
      <c r="B6" s="16" t="n">
        <f aca="false">(Assumptions!$B$4*Assumptions!$B$9+Assumptions!$B$10)/(Assumptions!$B$4+1)</f>
        <v>5.4</v>
      </c>
    </row>
    <row r="7" customFormat="false" ht="15" hidden="false" customHeight="false" outlineLevel="0" collapsed="false">
      <c r="A7" s="4" t="s">
        <v>68</v>
      </c>
      <c r="B7" s="16" t="n">
        <f aca="false">(Assumptions!$B$4*Assumptions!$B$11+Assumptions!$B$12)/(Assumptions!$B$4+1)</f>
        <v>1.8</v>
      </c>
    </row>
    <row r="8" customFormat="false" ht="15" hidden="false" customHeight="false" outlineLevel="0" collapsed="false">
      <c r="A8" s="4" t="s">
        <v>69</v>
      </c>
      <c r="B8" s="16" t="n">
        <f aca="false">(Assumptions!$B$4*Assumptions!$B$14+Assumptions!$B$15)/(Assumptions!$B$4+1)</f>
        <v>0.264</v>
      </c>
    </row>
    <row r="9" customFormat="false" ht="15" hidden="false" customHeight="false" outlineLevel="0" collapsed="false">
      <c r="A9" s="4" t="s">
        <v>70</v>
      </c>
      <c r="B9" s="16" t="n">
        <f aca="false">Assumptions!$B$16</f>
        <v>2.17</v>
      </c>
    </row>
    <row r="10" customFormat="false" ht="15" hidden="false" customHeight="false" outlineLevel="0" collapsed="false">
      <c r="A10" s="4" t="s">
        <v>71</v>
      </c>
      <c r="B10" s="16" t="n">
        <f aca="false">Assumptions!$B$17</f>
        <v>0.08</v>
      </c>
    </row>
    <row r="12" customFormat="false" ht="15" hidden="false" customHeight="false" outlineLevel="0" collapsed="false">
      <c r="A12" s="15" t="s">
        <v>72</v>
      </c>
    </row>
    <row r="13" customFormat="false" ht="15" hidden="false" customHeight="false" outlineLevel="0" collapsed="false">
      <c r="A13" s="4" t="s">
        <v>73</v>
      </c>
      <c r="B13" s="17" t="n">
        <f aca="false">Assumptions!$B$20/(Assumptions!$B$21*12)/Assumptions!$B$5</f>
        <v>1.71232876712329</v>
      </c>
    </row>
    <row r="14" customFormat="false" ht="15" hidden="false" customHeight="false" outlineLevel="0" collapsed="false">
      <c r="A14" s="4" t="s">
        <v>74</v>
      </c>
      <c r="B14" s="17" t="n">
        <f aca="false">Assumptions!$B$22*Assumptions!$B$23*Assumptions!$B$24</f>
        <v>0.294</v>
      </c>
    </row>
    <row r="15" customFormat="false" ht="15" hidden="false" customHeight="false" outlineLevel="0" collapsed="false">
      <c r="A15" s="4" t="s">
        <v>75</v>
      </c>
      <c r="B15" s="17" t="n">
        <f aca="false">Assumptions!$B$25/Assumptions!$B$5</f>
        <v>0.342465753424658</v>
      </c>
    </row>
    <row r="16" customFormat="false" ht="15" hidden="false" customHeight="false" outlineLevel="0" collapsed="false">
      <c r="A16" s="18" t="s">
        <v>76</v>
      </c>
      <c r="B16" s="19" t="n">
        <f aca="false">SUM(B13:B15)</f>
        <v>2.34879452054795</v>
      </c>
    </row>
    <row r="17" customFormat="false" ht="15" hidden="false" customHeight="false" outlineLevel="0" collapsed="false">
      <c r="A17" s="4" t="s">
        <v>77</v>
      </c>
      <c r="B17" s="17" t="n">
        <f aca="false">Assumptions!$B$19</f>
        <v>2.76</v>
      </c>
    </row>
    <row r="18" customFormat="false" ht="15" hidden="false" customHeight="false" outlineLevel="0" collapsed="false">
      <c r="A18" s="4" t="s">
        <v>78</v>
      </c>
      <c r="B18" s="20" t="n">
        <f aca="false">Assumptions!$B$26*3600*Assumptions!$B$5*Assumptions!$B$27</f>
        <v>3153600000</v>
      </c>
    </row>
    <row r="19" customFormat="false" ht="15" hidden="false" customHeight="false" outlineLevel="0" collapsed="false">
      <c r="A19" s="18" t="s">
        <v>79</v>
      </c>
      <c r="B19" s="21" t="n">
        <f aca="false">$B$8</f>
        <v>0.264</v>
      </c>
    </row>
    <row r="20" customFormat="false" ht="15" hidden="false" customHeight="false" outlineLevel="0" collapsed="false">
      <c r="A20" s="4" t="s">
        <v>80</v>
      </c>
      <c r="B20" s="16" t="n">
        <f aca="false">B16/(Assumptions!$B$26*3600*1)*1000000</f>
        <v>0.326221461187215</v>
      </c>
      <c r="G20" s="15" t="s">
        <v>81</v>
      </c>
    </row>
    <row r="21" customFormat="false" ht="15" hidden="false" customHeight="false" outlineLevel="0" collapsed="false">
      <c r="G21" s="4" t="s">
        <v>66</v>
      </c>
      <c r="H21" s="16" t="n">
        <f aca="false">$B$5</f>
        <v>9</v>
      </c>
    </row>
    <row r="22" customFormat="false" ht="15" hidden="false" customHeight="false" outlineLevel="0" collapsed="false">
      <c r="G22" s="4" t="s">
        <v>67</v>
      </c>
      <c r="H22" s="16" t="n">
        <f aca="false">$B$6</f>
        <v>5.4</v>
      </c>
    </row>
    <row r="23" customFormat="false" ht="15" hidden="false" customHeight="false" outlineLevel="0" collapsed="false">
      <c r="A23" s="15" t="s">
        <v>82</v>
      </c>
      <c r="G23" s="4" t="s">
        <v>83</v>
      </c>
      <c r="H23" s="16" t="n">
        <f aca="false">$B$9</f>
        <v>2.17</v>
      </c>
    </row>
    <row r="24" customFormat="false" ht="15" hidden="false" customHeight="false" outlineLevel="0" collapsed="false">
      <c r="A24" s="3" t="s">
        <v>84</v>
      </c>
      <c r="B24" s="3" t="s">
        <v>85</v>
      </c>
      <c r="C24" s="3" t="s">
        <v>86</v>
      </c>
      <c r="D24" s="3" t="s">
        <v>87</v>
      </c>
      <c r="G24" s="4" t="s">
        <v>68</v>
      </c>
      <c r="H24" s="16" t="n">
        <f aca="false">$B$7</f>
        <v>1.8</v>
      </c>
    </row>
    <row r="25" customFormat="false" ht="15" hidden="false" customHeight="false" outlineLevel="0" collapsed="false">
      <c r="A25" s="14" t="n">
        <v>0.2</v>
      </c>
      <c r="B25" s="16" t="n">
        <f aca="false">Assumptions!$B$19/(Assumptions!$B$26*3600*A25)*1000000</f>
        <v>1.91666666666667</v>
      </c>
      <c r="C25" s="16" t="n">
        <f aca="false">$B$16/(Assumptions!$B$26*3600*A25)*1000000</f>
        <v>1.63110730593607</v>
      </c>
      <c r="D25" s="22" t="n">
        <f aca="false">$B$19</f>
        <v>0.264</v>
      </c>
      <c r="G25" s="4" t="s">
        <v>88</v>
      </c>
      <c r="H25" s="16" t="n">
        <f aca="false">$C$27</f>
        <v>0.543702435312024</v>
      </c>
    </row>
    <row r="26" customFormat="false" ht="15" hidden="false" customHeight="false" outlineLevel="0" collapsed="false">
      <c r="A26" s="14" t="n">
        <v>0.4</v>
      </c>
      <c r="B26" s="16" t="n">
        <f aca="false">Assumptions!$B$19/(Assumptions!$B$26*3600*A26)*1000000</f>
        <v>0.958333333333333</v>
      </c>
      <c r="C26" s="16" t="n">
        <f aca="false">$B$16/(Assumptions!$B$26*3600*A26)*1000000</f>
        <v>0.815553652968037</v>
      </c>
      <c r="D26" s="22" t="n">
        <f aca="false">$B$19</f>
        <v>0.264</v>
      </c>
      <c r="G26" s="4" t="s">
        <v>89</v>
      </c>
      <c r="H26" s="16" t="n">
        <f aca="false">$B$8</f>
        <v>0.264</v>
      </c>
    </row>
    <row r="27" customFormat="false" ht="15" hidden="false" customHeight="false" outlineLevel="0" collapsed="false">
      <c r="A27" s="14" t="n">
        <v>0.6</v>
      </c>
      <c r="B27" s="16" t="n">
        <f aca="false">Assumptions!$B$19/(Assumptions!$B$26*3600*A27)*1000000</f>
        <v>0.638888888888889</v>
      </c>
      <c r="C27" s="16" t="n">
        <f aca="false">$B$16/(Assumptions!$B$26*3600*A27)*1000000</f>
        <v>0.543702435312024</v>
      </c>
      <c r="D27" s="22" t="n">
        <f aca="false">$B$19</f>
        <v>0.264</v>
      </c>
      <c r="G27" s="4" t="s">
        <v>90</v>
      </c>
      <c r="H27" s="16" t="n">
        <f aca="false">$B$10</f>
        <v>0.08</v>
      </c>
    </row>
    <row r="28" customFormat="false" ht="15" hidden="false" customHeight="false" outlineLevel="0" collapsed="false">
      <c r="A28" s="14" t="n">
        <v>0.8</v>
      </c>
      <c r="B28" s="16" t="n">
        <f aca="false">Assumptions!$B$19/(Assumptions!$B$26*3600*A28)*1000000</f>
        <v>0.479166666666667</v>
      </c>
      <c r="C28" s="16" t="n">
        <f aca="false">$B$16/(Assumptions!$B$26*3600*A28)*1000000</f>
        <v>0.407776826484018</v>
      </c>
      <c r="D28" s="22" t="n">
        <f aca="false">$B$19</f>
        <v>0.264</v>
      </c>
    </row>
    <row r="29" customFormat="false" ht="15" hidden="false" customHeight="false" outlineLevel="0" collapsed="false">
      <c r="A29" s="14" t="n">
        <v>1</v>
      </c>
      <c r="B29" s="16" t="n">
        <f aca="false">Assumptions!$B$19/(Assumptions!$B$26*3600*A29)*1000000</f>
        <v>0.383333333333333</v>
      </c>
      <c r="C29" s="16" t="n">
        <f aca="false">$B$16/(Assumptions!$B$26*3600*A29)*1000000</f>
        <v>0.326221461187215</v>
      </c>
      <c r="D29" s="22" t="n">
        <f aca="false">$B$19</f>
        <v>0.264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7" min="3" style="0" width="14"/>
  </cols>
  <sheetData>
    <row r="1" customFormat="false" ht="17.35" hidden="false" customHeight="false" outlineLevel="0" collapsed="false">
      <c r="A1" s="1" t="s">
        <v>91</v>
      </c>
    </row>
    <row r="2" customFormat="false" ht="15" hidden="false" customHeight="false" outlineLevel="0" collapsed="false">
      <c r="A2" s="2" t="s">
        <v>92</v>
      </c>
    </row>
    <row r="4" customFormat="false" ht="15" hidden="false" customHeight="false" outlineLevel="0" collapsed="false">
      <c r="A4" s="4" t="s">
        <v>93</v>
      </c>
      <c r="B4" s="23" t="n">
        <f aca="false">Assumptions!$B$28*Assumptions!$B$29/12</f>
        <v>31666.6666666667</v>
      </c>
    </row>
    <row r="6" customFormat="false" ht="23.85" hidden="false" customHeight="false" outlineLevel="0" collapsed="false">
      <c r="A6" s="24" t="s">
        <v>94</v>
      </c>
      <c r="B6" s="24" t="s">
        <v>95</v>
      </c>
      <c r="C6" s="24" t="s">
        <v>96</v>
      </c>
      <c r="D6" s="24" t="s">
        <v>97</v>
      </c>
      <c r="E6" s="24" t="s">
        <v>98</v>
      </c>
      <c r="F6" s="24" t="s">
        <v>99</v>
      </c>
      <c r="G6" s="24" t="s">
        <v>100</v>
      </c>
    </row>
    <row r="7" customFormat="false" ht="15" hidden="false" customHeight="false" outlineLevel="0" collapsed="false">
      <c r="A7" s="25" t="n">
        <v>1</v>
      </c>
      <c r="B7" s="20" t="n">
        <f aca="false">CEILING(A7*1000000000/'Unit economics'!$B$18,1)</f>
        <v>1</v>
      </c>
      <c r="C7" s="23" t="n">
        <f aca="false">B7*'Unit economics'!$B$16*Assumptions!$B$5+$B$4</f>
        <v>33381.2866666667</v>
      </c>
      <c r="D7" s="16" t="n">
        <f aca="false">C7/(A7*1000)</f>
        <v>33.3812866666667</v>
      </c>
      <c r="E7" s="23" t="n">
        <f aca="false">A7*1000*'Unit economics'!$B$19</f>
        <v>264</v>
      </c>
      <c r="F7" s="23" t="n">
        <f aca="false">A7*1000*'Unit economics'!$B$5</f>
        <v>9000</v>
      </c>
      <c r="G7" s="26" t="n">
        <f aca="false">D7/'Unit economics'!$B$19</f>
        <v>126.444267676768</v>
      </c>
    </row>
    <row r="8" customFormat="false" ht="15" hidden="false" customHeight="false" outlineLevel="0" collapsed="false">
      <c r="A8" s="25" t="n">
        <v>10</v>
      </c>
      <c r="B8" s="20" t="n">
        <f aca="false">CEILING(A8*1000000000/'Unit economics'!$B$18,1)</f>
        <v>4</v>
      </c>
      <c r="C8" s="23" t="n">
        <f aca="false">B8*'Unit economics'!$B$16*Assumptions!$B$5+$B$4</f>
        <v>38525.1466666667</v>
      </c>
      <c r="D8" s="16" t="n">
        <f aca="false">C8/(A8*1000)</f>
        <v>3.85251466666667</v>
      </c>
      <c r="E8" s="23" t="n">
        <f aca="false">A8*1000*'Unit economics'!$B$19</f>
        <v>2640</v>
      </c>
      <c r="F8" s="23" t="n">
        <f aca="false">A8*1000*'Unit economics'!$B$5</f>
        <v>90000</v>
      </c>
      <c r="G8" s="26" t="n">
        <f aca="false">D8/'Unit economics'!$B$19</f>
        <v>14.5928585858586</v>
      </c>
    </row>
    <row r="9" customFormat="false" ht="15" hidden="false" customHeight="false" outlineLevel="0" collapsed="false">
      <c r="A9" s="25" t="n">
        <v>50</v>
      </c>
      <c r="B9" s="20" t="n">
        <f aca="false">CEILING(A9*1000000000/'Unit economics'!$B$18,1)</f>
        <v>16</v>
      </c>
      <c r="C9" s="23" t="n">
        <f aca="false">B9*'Unit economics'!$B$16*Assumptions!$B$5+$B$4</f>
        <v>59100.5866666667</v>
      </c>
      <c r="D9" s="16" t="n">
        <f aca="false">C9/(A9*1000)</f>
        <v>1.18201173333333</v>
      </c>
      <c r="E9" s="23" t="n">
        <f aca="false">A9*1000*'Unit economics'!$B$19</f>
        <v>13200</v>
      </c>
      <c r="F9" s="23" t="n">
        <f aca="false">A9*1000*'Unit economics'!$B$5</f>
        <v>450000</v>
      </c>
      <c r="G9" s="26" t="n">
        <f aca="false">D9/'Unit economics'!$B$19</f>
        <v>4.47731717171717</v>
      </c>
    </row>
    <row r="10" customFormat="false" ht="15" hidden="false" customHeight="false" outlineLevel="0" collapsed="false">
      <c r="A10" s="25" t="n">
        <v>100</v>
      </c>
      <c r="B10" s="20" t="n">
        <f aca="false">CEILING(A10*1000000000/'Unit economics'!$B$18,1)</f>
        <v>32</v>
      </c>
      <c r="C10" s="23" t="n">
        <f aca="false">B10*'Unit economics'!$B$16*Assumptions!$B$5+$B$4</f>
        <v>86534.5066666667</v>
      </c>
      <c r="D10" s="16" t="n">
        <f aca="false">C10/(A10*1000)</f>
        <v>0.865345066666667</v>
      </c>
      <c r="E10" s="23" t="n">
        <f aca="false">A10*1000*'Unit economics'!$B$19</f>
        <v>26400</v>
      </c>
      <c r="F10" s="23" t="n">
        <f aca="false">A10*1000*'Unit economics'!$B$5</f>
        <v>900000</v>
      </c>
      <c r="G10" s="26" t="n">
        <f aca="false">D10/'Unit economics'!$B$19</f>
        <v>3.27782222222222</v>
      </c>
    </row>
    <row r="11" customFormat="false" ht="15" hidden="false" customHeight="false" outlineLevel="0" collapsed="false">
      <c r="A11" s="25" t="n">
        <v>500</v>
      </c>
      <c r="B11" s="20" t="n">
        <f aca="false">CEILING(A11*1000000000/'Unit economics'!$B$18,1)</f>
        <v>159</v>
      </c>
      <c r="C11" s="23" t="n">
        <f aca="false">B11*'Unit economics'!$B$16*Assumptions!$B$5+$B$4</f>
        <v>304291.246666667</v>
      </c>
      <c r="D11" s="16" t="n">
        <f aca="false">C11/(A11*1000)</f>
        <v>0.608582493333333</v>
      </c>
      <c r="E11" s="23" t="n">
        <f aca="false">A11*1000*'Unit economics'!$B$19</f>
        <v>132000</v>
      </c>
      <c r="F11" s="23" t="n">
        <f aca="false">A11*1000*'Unit economics'!$B$5</f>
        <v>4500000</v>
      </c>
      <c r="G11" s="26" t="n">
        <f aca="false">D11/'Unit economics'!$B$19</f>
        <v>2.30523671717172</v>
      </c>
    </row>
    <row r="12" customFormat="false" ht="15" hidden="false" customHeight="false" outlineLevel="0" collapsed="false">
      <c r="A12" s="25" t="n">
        <v>1000</v>
      </c>
      <c r="B12" s="20" t="n">
        <f aca="false">CEILING(A12*1000000000/'Unit economics'!$B$18,1)</f>
        <v>318</v>
      </c>
      <c r="C12" s="23" t="n">
        <f aca="false">B12*'Unit economics'!$B$16*Assumptions!$B$5+$B$4</f>
        <v>576915.826666667</v>
      </c>
      <c r="D12" s="16" t="n">
        <f aca="false">C12/(A12*1000)</f>
        <v>0.576915826666667</v>
      </c>
      <c r="E12" s="23" t="n">
        <f aca="false">A12*1000*'Unit economics'!$B$19</f>
        <v>264000</v>
      </c>
      <c r="F12" s="23" t="n">
        <f aca="false">A12*1000*'Unit economics'!$B$5</f>
        <v>9000000</v>
      </c>
      <c r="G12" s="26" t="n">
        <f aca="false">D12/'Unit economics'!$B$19</f>
        <v>2.18528722222222</v>
      </c>
    </row>
    <row r="14" customFormat="false" ht="15" hidden="false" customHeight="false" outlineLevel="0" collapsed="false">
      <c r="A14" s="15" t="s">
        <v>101</v>
      </c>
    </row>
    <row r="15" customFormat="false" ht="15" hidden="false" customHeight="false" outlineLevel="0" collapsed="false">
      <c r="A15" s="0" t="s">
        <v>102</v>
      </c>
      <c r="B15" s="16" t="n">
        <f aca="false">'Unit economics'!$B$16*Assumptions!$B$5/'Unit economics'!$B$18*1000000</f>
        <v>0.543702435312024</v>
      </c>
    </row>
    <row r="16" customFormat="false" ht="15" hidden="false" customHeight="false" outlineLevel="0" collapsed="false">
      <c r="A16" s="0" t="s">
        <v>103</v>
      </c>
      <c r="B16" s="27" t="n">
        <f aca="false">$B$4/(('Unit economics'!$B$5/1000000)-(B15/1000000))/1000000000</f>
        <v>3.74474365695232</v>
      </c>
      <c r="C16" s="6" t="s">
        <v>104</v>
      </c>
    </row>
    <row r="17" customFormat="false" ht="15" hidden="false" customHeight="false" outlineLevel="0" collapsed="false">
      <c r="A17" s="0" t="s">
        <v>105</v>
      </c>
      <c r="B17" s="4" t="str">
        <f aca="false">IF(B15&gt;'Unit economics'!$B$19,"no breakeven (mgd cheaper)","owned cheaper")</f>
        <v>no breakeven (mgd cheaper)</v>
      </c>
    </row>
    <row r="19" customFormat="false" ht="15" hidden="false" customHeight="false" outlineLevel="0" collapsed="false">
      <c r="A19" s="15" t="s">
        <v>106</v>
      </c>
    </row>
    <row r="20" customFormat="false" ht="15" hidden="false" customHeight="false" outlineLevel="0" collapsed="false">
      <c r="A20" s="0" t="s">
        <v>107</v>
      </c>
      <c r="B20" s="12" t="n">
        <v>30000</v>
      </c>
      <c r="C20" s="27" t="n">
        <f aca="false">B20/'Unit economics'!$B$19/1000</f>
        <v>113.636363636364</v>
      </c>
      <c r="D20" s="6" t="s">
        <v>108</v>
      </c>
    </row>
    <row r="21" customFormat="false" ht="15" hidden="false" customHeight="false" outlineLevel="0" collapsed="false">
      <c r="A21" s="0" t="s">
        <v>109</v>
      </c>
      <c r="B21" s="12" t="n">
        <v>44000</v>
      </c>
      <c r="C21" s="27" t="n">
        <f aca="false">B21/'Unit economics'!$B$19/1000</f>
        <v>166.666666666667</v>
      </c>
      <c r="D21" s="6" t="s">
        <v>108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8" min="2" style="0" width="10"/>
  </cols>
  <sheetData>
    <row r="1" customFormat="false" ht="17.35" hidden="false" customHeight="false" outlineLevel="0" collapsed="false">
      <c r="A1" s="1" t="s">
        <v>110</v>
      </c>
    </row>
    <row r="2" customFormat="false" ht="15" hidden="false" customHeight="false" outlineLevel="0" collapsed="false">
      <c r="A2" s="2" t="s">
        <v>111</v>
      </c>
    </row>
    <row r="4" customFormat="false" ht="15" hidden="false" customHeight="false" outlineLevel="0" collapsed="false">
      <c r="A4" s="3" t="s">
        <v>112</v>
      </c>
      <c r="B4" s="28" t="n">
        <v>0.4</v>
      </c>
      <c r="C4" s="28" t="n">
        <v>0.5</v>
      </c>
      <c r="D4" s="28" t="n">
        <v>0.6</v>
      </c>
      <c r="E4" s="28" t="n">
        <v>0.7</v>
      </c>
      <c r="F4" s="28" t="n">
        <v>0.8</v>
      </c>
      <c r="G4" s="28" t="n">
        <v>0.9</v>
      </c>
      <c r="H4" s="28" t="n">
        <v>1</v>
      </c>
    </row>
    <row r="5" customFormat="false" ht="15" hidden="false" customHeight="false" outlineLevel="0" collapsed="false">
      <c r="A5" s="7" t="n">
        <v>1000</v>
      </c>
      <c r="B5" s="16" t="n">
        <f aca="false">'Unit economics'!$B$16/($A5*3600*B$4)*1000000</f>
        <v>1.63110730593607</v>
      </c>
      <c r="C5" s="16" t="n">
        <f aca="false">'Unit economics'!$B$16/($A5*3600*C$4)*1000000</f>
        <v>1.30488584474886</v>
      </c>
      <c r="D5" s="16" t="n">
        <f aca="false">'Unit economics'!$B$16/($A5*3600*D$4)*1000000</f>
        <v>1.08740487062405</v>
      </c>
      <c r="E5" s="16" t="n">
        <f aca="false">'Unit economics'!$B$16/($A5*3600*E$4)*1000000</f>
        <v>0.932061317677756</v>
      </c>
      <c r="F5" s="16" t="n">
        <f aca="false">'Unit economics'!$B$16/($A5*3600*F$4)*1000000</f>
        <v>0.815553652968037</v>
      </c>
      <c r="G5" s="16" t="n">
        <f aca="false">'Unit economics'!$B$16/($A5*3600*G$4)*1000000</f>
        <v>0.724936580416032</v>
      </c>
      <c r="H5" s="16" t="n">
        <f aca="false">'Unit economics'!$B$16/($A5*3600*H$4)*1000000</f>
        <v>0.652442922374429</v>
      </c>
    </row>
    <row r="6" customFormat="false" ht="15" hidden="false" customHeight="false" outlineLevel="0" collapsed="false">
      <c r="A6" s="7" t="n">
        <v>1500</v>
      </c>
      <c r="B6" s="16" t="n">
        <f aca="false">'Unit economics'!$B$16/($A6*3600*B$4)*1000000</f>
        <v>1.08740487062405</v>
      </c>
      <c r="C6" s="16" t="n">
        <f aca="false">'Unit economics'!$B$16/($A6*3600*C$4)*1000000</f>
        <v>0.869923896499239</v>
      </c>
      <c r="D6" s="16" t="n">
        <f aca="false">'Unit economics'!$B$16/($A6*3600*D$4)*1000000</f>
        <v>0.724936580416032</v>
      </c>
      <c r="E6" s="16" t="n">
        <f aca="false">'Unit economics'!$B$16/($A6*3600*E$4)*1000000</f>
        <v>0.621374211785171</v>
      </c>
      <c r="F6" s="16" t="n">
        <f aca="false">'Unit economics'!$B$16/($A6*3600*F$4)*1000000</f>
        <v>0.543702435312024</v>
      </c>
      <c r="G6" s="16" t="n">
        <f aca="false">'Unit economics'!$B$16/($A6*3600*G$4)*1000000</f>
        <v>0.483291053610688</v>
      </c>
      <c r="H6" s="16" t="n">
        <f aca="false">'Unit economics'!$B$16/($A6*3600*H$4)*1000000</f>
        <v>0.434961948249619</v>
      </c>
    </row>
    <row r="7" customFormat="false" ht="15" hidden="false" customHeight="false" outlineLevel="0" collapsed="false">
      <c r="A7" s="7" t="n">
        <v>2000</v>
      </c>
      <c r="B7" s="16" t="n">
        <f aca="false">'Unit economics'!$B$16/($A7*3600*B$4)*1000000</f>
        <v>0.815553652968037</v>
      </c>
      <c r="C7" s="16" t="n">
        <f aca="false">'Unit economics'!$B$16/($A7*3600*C$4)*1000000</f>
        <v>0.652442922374429</v>
      </c>
      <c r="D7" s="16" t="n">
        <f aca="false">'Unit economics'!$B$16/($A7*3600*D$4)*1000000</f>
        <v>0.543702435312024</v>
      </c>
      <c r="E7" s="16" t="n">
        <f aca="false">'Unit economics'!$B$16/($A7*3600*E$4)*1000000</f>
        <v>0.466030658838878</v>
      </c>
      <c r="F7" s="16" t="n">
        <f aca="false">'Unit economics'!$B$16/($A7*3600*F$4)*1000000</f>
        <v>0.407776826484018</v>
      </c>
      <c r="G7" s="16" t="n">
        <f aca="false">'Unit economics'!$B$16/($A7*3600*G$4)*1000000</f>
        <v>0.362468290208016</v>
      </c>
      <c r="H7" s="16" t="n">
        <f aca="false">'Unit economics'!$B$16/($A7*3600*H$4)*1000000</f>
        <v>0.326221461187215</v>
      </c>
    </row>
    <row r="8" customFormat="false" ht="15" hidden="false" customHeight="false" outlineLevel="0" collapsed="false">
      <c r="A8" s="7" t="n">
        <v>2500</v>
      </c>
      <c r="B8" s="16" t="n">
        <f aca="false">'Unit economics'!$B$16/($A8*3600*B$4)*1000000</f>
        <v>0.652442922374429</v>
      </c>
      <c r="C8" s="16" t="n">
        <f aca="false">'Unit economics'!$B$16/($A8*3600*C$4)*1000000</f>
        <v>0.521954337899543</v>
      </c>
      <c r="D8" s="16" t="n">
        <f aca="false">'Unit economics'!$B$16/($A8*3600*D$4)*1000000</f>
        <v>0.434961948249619</v>
      </c>
      <c r="E8" s="16" t="n">
        <f aca="false">'Unit economics'!$B$16/($A8*3600*E$4)*1000000</f>
        <v>0.372824527071102</v>
      </c>
      <c r="F8" s="16" t="n">
        <f aca="false">'Unit economics'!$B$16/($A8*3600*F$4)*1000000</f>
        <v>0.326221461187215</v>
      </c>
      <c r="G8" s="16" t="n">
        <f aca="false">'Unit economics'!$B$16/($A8*3600*G$4)*1000000</f>
        <v>0.289974632166413</v>
      </c>
      <c r="H8" s="16" t="n">
        <f aca="false">'Unit economics'!$B$16/($A8*3600*H$4)*1000000</f>
        <v>0.260977168949772</v>
      </c>
    </row>
    <row r="9" customFormat="false" ht="15" hidden="false" customHeight="false" outlineLevel="0" collapsed="false">
      <c r="A9" s="7" t="n">
        <v>3000</v>
      </c>
      <c r="B9" s="16" t="n">
        <f aca="false">'Unit economics'!$B$16/($A9*3600*B$4)*1000000</f>
        <v>0.543702435312024</v>
      </c>
      <c r="C9" s="16" t="n">
        <f aca="false">'Unit economics'!$B$16/($A9*3600*C$4)*1000000</f>
        <v>0.434961948249619</v>
      </c>
      <c r="D9" s="16" t="n">
        <f aca="false">'Unit economics'!$B$16/($A9*3600*D$4)*1000000</f>
        <v>0.362468290208016</v>
      </c>
      <c r="E9" s="16" t="n">
        <f aca="false">'Unit economics'!$B$16/($A9*3600*E$4)*1000000</f>
        <v>0.310687105892585</v>
      </c>
      <c r="F9" s="16" t="n">
        <f aca="false">'Unit economics'!$B$16/($A9*3600*F$4)*1000000</f>
        <v>0.271851217656012</v>
      </c>
      <c r="G9" s="16" t="n">
        <f aca="false">'Unit economics'!$B$16/($A9*3600*G$4)*1000000</f>
        <v>0.241645526805344</v>
      </c>
      <c r="H9" s="16" t="n">
        <f aca="false">'Unit economics'!$B$16/($A9*3600*H$4)*1000000</f>
        <v>0.21748097412481</v>
      </c>
    </row>
    <row r="10" customFormat="false" ht="15" hidden="false" customHeight="false" outlineLevel="0" collapsed="false">
      <c r="A10" s="7" t="n">
        <v>3500</v>
      </c>
      <c r="B10" s="16" t="n">
        <f aca="false">'Unit economics'!$B$16/($A10*3600*B$4)*1000000</f>
        <v>0.466030658838878</v>
      </c>
      <c r="C10" s="16" t="n">
        <f aca="false">'Unit economics'!$B$16/($A10*3600*C$4)*1000000</f>
        <v>0.372824527071102</v>
      </c>
      <c r="D10" s="16" t="n">
        <f aca="false">'Unit economics'!$B$16/($A10*3600*D$4)*1000000</f>
        <v>0.310687105892585</v>
      </c>
      <c r="E10" s="16" t="n">
        <f aca="false">'Unit economics'!$B$16/($A10*3600*E$4)*1000000</f>
        <v>0.266303233622216</v>
      </c>
      <c r="F10" s="16" t="n">
        <f aca="false">'Unit economics'!$B$16/($A10*3600*F$4)*1000000</f>
        <v>0.233015329419439</v>
      </c>
      <c r="G10" s="16" t="n">
        <f aca="false">'Unit economics'!$B$16/($A10*3600*G$4)*1000000</f>
        <v>0.207124737261724</v>
      </c>
      <c r="H10" s="16" t="n">
        <f aca="false">'Unit economics'!$B$16/($A10*3600*H$4)*1000000</f>
        <v>0.186412263535551</v>
      </c>
    </row>
    <row r="12" customFormat="false" ht="15" hidden="false" customHeight="false" outlineLevel="0" collapsed="false">
      <c r="A12" s="6" t="s">
        <v>113</v>
      </c>
      <c r="B12" s="22" t="n">
        <f aca="false">'Unit economics'!$B$19</f>
        <v>0.264</v>
      </c>
    </row>
  </sheetData>
  <conditionalFormatting sqref="B5:I10">
    <cfRule type="cellIs" priority="2" operator="lessThan" aboveAverage="0" equalAverage="0" bottom="0" percent="0" rank="0" text="" dxfId="0">
      <formula>'Unit economics'!$B$19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2026-06-03T07:36:35Z</dcterms:created>
  <dc:creator>openpyxl</dc:creator>
  <dc:description/>
  <dc:language>en-US</dc:language>
  <cp:lastModifiedBy/>
  <dcterms:modified xsi:type="dcterms:W3CDTF">2026-06-03T07:36:38Z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